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han\Documents\2023\Enefit280-2 loataotluse täiendamine 2023\Lisad\"/>
    </mc:Choice>
  </mc:AlternateContent>
  <xr:revisionPtr revIDLastSave="0" documentId="13_ncr:1_{2CE9D69A-9041-448C-A807-01626866F789}" xr6:coauthVersionLast="47" xr6:coauthVersionMax="47" xr10:uidLastSave="{00000000-0000-0000-0000-000000000000}"/>
  <bookViews>
    <workbookView xWindow="-110" yWindow="-110" windowWidth="19420" windowHeight="10300" activeTab="2" xr2:uid="{B728507F-9FE6-4D0D-9467-4BF178AF149B}"/>
  </bookViews>
  <sheets>
    <sheet name="Enefit 280-2 korsten" sheetId="2" r:id="rId1"/>
    <sheet name="Leektoru E280-2 käivitamisel" sheetId="3" r:id="rId2"/>
    <sheet name="Leektoru_seiskamine-ohutus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10" i="3"/>
  <c r="B5" i="3"/>
  <c r="S4" i="3"/>
  <c r="Q28" i="3" l="1"/>
  <c r="J26" i="3" l="1"/>
  <c r="J27" i="3" s="1"/>
  <c r="Q21" i="3"/>
  <c r="AA38" i="3"/>
  <c r="Z38" i="3"/>
  <c r="W20" i="3"/>
  <c r="U17" i="3" l="1"/>
  <c r="W17" i="3" s="1"/>
  <c r="W16" i="3"/>
  <c r="W15" i="3"/>
  <c r="W14" i="3"/>
  <c r="W13" i="3"/>
  <c r="W12" i="3"/>
  <c r="W11" i="3"/>
  <c r="W10" i="3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30" i="2"/>
  <c r="J22" i="2"/>
  <c r="J23" i="2"/>
  <c r="J24" i="2"/>
  <c r="J25" i="2"/>
  <c r="J26" i="2"/>
  <c r="J27" i="2"/>
  <c r="J21" i="2"/>
  <c r="W18" i="3" l="1"/>
  <c r="X12" i="3" s="1"/>
  <c r="F41" i="2"/>
  <c r="F42" i="2"/>
  <c r="F43" i="2"/>
  <c r="F40" i="2"/>
  <c r="F39" i="2"/>
  <c r="F38" i="2"/>
  <c r="F31" i="2"/>
  <c r="F32" i="2"/>
  <c r="F33" i="2"/>
  <c r="F34" i="2"/>
  <c r="F35" i="2"/>
  <c r="F36" i="2"/>
  <c r="F37" i="2"/>
  <c r="F30" i="2"/>
  <c r="C5" i="4"/>
  <c r="C6" i="4"/>
  <c r="C7" i="4"/>
  <c r="C8" i="4"/>
  <c r="C9" i="4"/>
  <c r="C4" i="4"/>
  <c r="D10" i="4"/>
  <c r="E10" i="4"/>
  <c r="F10" i="4"/>
  <c r="E9" i="4"/>
  <c r="F9" i="4" s="1"/>
  <c r="E8" i="4"/>
  <c r="F8" i="4" s="1"/>
  <c r="D8" i="4"/>
  <c r="E7" i="4"/>
  <c r="F7" i="4" s="1"/>
  <c r="D7" i="4"/>
  <c r="E6" i="4"/>
  <c r="F6" i="4" s="1"/>
  <c r="D6" i="4"/>
  <c r="E5" i="4"/>
  <c r="F5" i="4" s="1"/>
  <c r="D5" i="4"/>
  <c r="E4" i="4"/>
  <c r="F4" i="4" s="1"/>
  <c r="D4" i="4"/>
  <c r="T3" i="4"/>
  <c r="U1" i="4"/>
  <c r="U2" i="4" s="1"/>
  <c r="U4" i="4" s="1"/>
  <c r="D15" i="4" s="1"/>
  <c r="N20" i="3"/>
  <c r="D11" i="3"/>
  <c r="R4" i="3"/>
  <c r="D6" i="3"/>
  <c r="D7" i="3"/>
  <c r="D8" i="3"/>
  <c r="D9" i="3"/>
  <c r="D10" i="3"/>
  <c r="C6" i="3"/>
  <c r="C7" i="3"/>
  <c r="C8" i="3"/>
  <c r="C9" i="3"/>
  <c r="C10" i="3"/>
  <c r="D5" i="3"/>
  <c r="C5" i="3"/>
  <c r="W21" i="3" l="1"/>
  <c r="X14" i="3"/>
  <c r="X13" i="3"/>
  <c r="X15" i="3"/>
  <c r="X16" i="3"/>
  <c r="X17" i="3"/>
  <c r="X10" i="3"/>
  <c r="X11" i="3"/>
  <c r="D9" i="4"/>
  <c r="D21" i="4"/>
  <c r="G4" i="4" s="1"/>
  <c r="D16" i="4"/>
  <c r="Y17" i="3" l="1"/>
  <c r="AB17" i="3" s="1"/>
  <c r="AC17" i="3" s="1"/>
  <c r="Z16" i="3"/>
  <c r="AA16" i="3" s="1"/>
  <c r="Y16" i="3"/>
  <c r="AB16" i="3" s="1"/>
  <c r="AC16" i="3" s="1"/>
  <c r="Y15" i="3"/>
  <c r="Z15" i="3" s="1"/>
  <c r="AA15" i="3" s="1"/>
  <c r="X19" i="3"/>
  <c r="W22" i="3" s="1"/>
  <c r="G9" i="4"/>
  <c r="G7" i="4"/>
  <c r="D22" i="4"/>
  <c r="D23" i="4" s="1"/>
  <c r="G6" i="4"/>
  <c r="G8" i="4"/>
  <c r="G5" i="4"/>
  <c r="AB15" i="3" l="1"/>
  <c r="AC15" i="3" s="1"/>
  <c r="Z17" i="3"/>
  <c r="AA17" i="3" s="1"/>
  <c r="J3" i="3"/>
  <c r="H21" i="2"/>
  <c r="P25" i="2"/>
  <c r="G46" i="2"/>
  <c r="G32" i="2"/>
  <c r="G33" i="2"/>
  <c r="G35" i="2"/>
  <c r="G43" i="2"/>
  <c r="G30" i="2"/>
  <c r="I38" i="2"/>
  <c r="I31" i="2"/>
  <c r="I32" i="2"/>
  <c r="I33" i="2"/>
  <c r="I34" i="2"/>
  <c r="I35" i="2"/>
  <c r="I36" i="2"/>
  <c r="I37" i="2"/>
  <c r="I40" i="2"/>
  <c r="I41" i="2"/>
  <c r="I42" i="2"/>
  <c r="I43" i="2"/>
  <c r="I30" i="2"/>
  <c r="H25" i="2"/>
  <c r="H23" i="2"/>
  <c r="H24" i="2"/>
  <c r="H22" i="2"/>
  <c r="E26" i="2"/>
  <c r="J17" i="2"/>
  <c r="G22" i="2" s="1"/>
  <c r="J16" i="2"/>
  <c r="U25" i="3" l="1"/>
  <c r="U26" i="3" s="1"/>
  <c r="S2" i="3"/>
  <c r="S3" i="3" s="1"/>
  <c r="S5" i="3" s="1"/>
  <c r="C24" i="3" s="1"/>
  <c r="C11" i="3"/>
  <c r="G21" i="2"/>
  <c r="G34" i="2"/>
  <c r="G42" i="2"/>
  <c r="G38" i="2"/>
  <c r="G41" i="2"/>
  <c r="G25" i="2"/>
  <c r="G26" i="2" s="1"/>
  <c r="G39" i="2"/>
  <c r="G24" i="2"/>
  <c r="G48" i="2"/>
  <c r="G36" i="2"/>
  <c r="G23" i="2"/>
  <c r="G40" i="2"/>
  <c r="G31" i="2"/>
  <c r="H26" i="2"/>
  <c r="G37" i="2"/>
  <c r="C30" i="3" l="1"/>
  <c r="C25" i="3"/>
  <c r="U29" i="3"/>
  <c r="U27" i="3"/>
  <c r="U28" i="3"/>
  <c r="J15" i="2"/>
  <c r="J14" i="2"/>
  <c r="I46" i="2"/>
  <c r="E27" i="2"/>
  <c r="H27" i="2" s="1"/>
  <c r="E8" i="3" l="1"/>
  <c r="E9" i="3"/>
  <c r="C31" i="3"/>
  <c r="C32" i="3" s="1"/>
  <c r="E6" i="3"/>
  <c r="E10" i="3"/>
  <c r="E5" i="3"/>
  <c r="E7" i="3"/>
  <c r="F24" i="2"/>
  <c r="F21" i="2"/>
  <c r="F22" i="2"/>
  <c r="C5" i="2"/>
  <c r="F23" i="2"/>
  <c r="F46" i="2"/>
  <c r="F25" i="2"/>
  <c r="F26" i="2" s="1"/>
  <c r="C11" i="2" l="1"/>
  <c r="C12" i="2" s="1"/>
  <c r="C13" i="2" s="1"/>
  <c r="C6" i="2"/>
  <c r="F27" i="2" l="1"/>
  <c r="G27" i="2" s="1"/>
</calcChain>
</file>

<file path=xl/sharedStrings.xml><?xml version="1.0" encoding="utf-8"?>
<sst xmlns="http://schemas.openxmlformats.org/spreadsheetml/2006/main" count="311" uniqueCount="177">
  <si>
    <t>g/s</t>
  </si>
  <si>
    <t>SO2</t>
  </si>
  <si>
    <t>CO</t>
  </si>
  <si>
    <t>NMVOC</t>
  </si>
  <si>
    <t>Kõrgus</t>
  </si>
  <si>
    <t>m</t>
  </si>
  <si>
    <t>Diameeter</t>
  </si>
  <si>
    <t>Võimsus sisse</t>
  </si>
  <si>
    <t>MW</t>
  </si>
  <si>
    <t>GJ/s</t>
  </si>
  <si>
    <t>S.g. niiskus</t>
  </si>
  <si>
    <t>%</t>
  </si>
  <si>
    <t>O2</t>
  </si>
  <si>
    <t>Liigõhutegur</t>
  </si>
  <si>
    <t>Temperatuur</t>
  </si>
  <si>
    <t>C</t>
  </si>
  <si>
    <t>Suitsugaasid (kuivad, 6% O2)</t>
  </si>
  <si>
    <t>Nm3/s</t>
  </si>
  <si>
    <t>Mahtkiirus</t>
  </si>
  <si>
    <t>m3/s</t>
  </si>
  <si>
    <t>Kiirus</t>
  </si>
  <si>
    <t>m/s</t>
  </si>
  <si>
    <t>tööaeg</t>
  </si>
  <si>
    <t>h</t>
  </si>
  <si>
    <t>Põlevkiviõli</t>
  </si>
  <si>
    <t>Tbl 3-6</t>
  </si>
  <si>
    <t>eriheide</t>
  </si>
  <si>
    <t>EMEP</t>
  </si>
  <si>
    <t>osakaal</t>
  </si>
  <si>
    <t>t/a</t>
  </si>
  <si>
    <t>g/GJ</t>
  </si>
  <si>
    <t>Sr järgi</t>
  </si>
  <si>
    <t>NOx</t>
  </si>
  <si>
    <t>PMsum</t>
  </si>
  <si>
    <t>PM10</t>
  </si>
  <si>
    <t>PM2.5</t>
  </si>
  <si>
    <t>Hg</t>
  </si>
  <si>
    <t>mg/GJ</t>
  </si>
  <si>
    <t>kg/a</t>
  </si>
  <si>
    <t>Kaadmium (Cd)</t>
  </si>
  <si>
    <t>Plii (Pb)</t>
  </si>
  <si>
    <t>Vask (Cu)</t>
  </si>
  <si>
    <t>Tsink (Zn)</t>
  </si>
  <si>
    <t>Arseen (As)</t>
  </si>
  <si>
    <t>Kroom (Cr)</t>
  </si>
  <si>
    <t>Nikkel (Ni)</t>
  </si>
  <si>
    <t>Seleen (Se)</t>
  </si>
  <si>
    <t>Vanaadium</t>
  </si>
  <si>
    <t>Benso(a)püreen</t>
  </si>
  <si>
    <t>Benso(b)fluoranteen</t>
  </si>
  <si>
    <t>Benso(k)fluoranteen</t>
  </si>
  <si>
    <t>Indeo(1,2,3-cd)püreen</t>
  </si>
  <si>
    <t>HCB</t>
  </si>
  <si>
    <t>PCB</t>
  </si>
  <si>
    <t>PCDD/PCDF</t>
  </si>
  <si>
    <t>ng/GJ</t>
  </si>
  <si>
    <t>mg/a</t>
  </si>
  <si>
    <t>CO2</t>
  </si>
  <si>
    <t>tC/TJ</t>
  </si>
  <si>
    <t>Sr</t>
  </si>
  <si>
    <t>Qi</t>
  </si>
  <si>
    <t>Elektrifiltriga</t>
  </si>
  <si>
    <t>t/h</t>
  </si>
  <si>
    <t>maksimaalne koormus</t>
  </si>
  <si>
    <t>Elektrifiltrita</t>
  </si>
  <si>
    <t>MJ/kg</t>
  </si>
  <si>
    <t>MW (osakeste ja raskmetallide heide)</t>
  </si>
  <si>
    <t>MW (gaasiliste saasteainete ja POS heide)</t>
  </si>
  <si>
    <t>Aastane heitkogus (6 üleskütmistsüklit)</t>
  </si>
  <si>
    <t>keskmine õlikulu 1,3 t/h</t>
  </si>
  <si>
    <t>α = CO2max / CO2 ≈ 20,9 / (20,9 – O2); tahketel kütusel O2=6 %</t>
  </si>
  <si>
    <t>Ci (10 % O2)</t>
  </si>
  <si>
    <t>suitsugaaside jahtusskraberi seadistus</t>
  </si>
  <si>
    <t>280-2</t>
  </si>
  <si>
    <t>mcg/s</t>
  </si>
  <si>
    <t>tundi aastas; ka</t>
  </si>
  <si>
    <t>t/a katsetamisperioodil, aluseks 30 tsüklit aastas (tegelikult kestus tundides 1000 tundi)</t>
  </si>
  <si>
    <t>Põlevkivi</t>
  </si>
  <si>
    <t xml:space="preserve">põlevkivi andmist alustatakse elektrifiltriga, põlevkiviõliga koos ei põletata. </t>
  </si>
  <si>
    <t>olemuselt tegemist juba protsessi osaga, kus täidetakse tuhatsükloneid jms</t>
  </si>
  <si>
    <t>Seega heidet ei eristata. Maksimaalne koormus 280 t/h, st sama mis pürolüüsiseadmel normaalrežiimis</t>
  </si>
  <si>
    <t>Poolkoksigaasi süsiniku eriheide</t>
  </si>
  <si>
    <t>tCO2tuh nnm3</t>
  </si>
  <si>
    <t>Põlevkiviõli kasutamise etapp - olemuselt tegemist kütuse põletamisega, andmed tabelisse 7.2 ja 7.8</t>
  </si>
  <si>
    <t>Nox</t>
  </si>
  <si>
    <t>H2S</t>
  </si>
  <si>
    <t xml:space="preserve">Poolkoksigaasi suuname elektrijaamadesse EEJ/Auvere kui En280 seadme tootlikus on suurem kui 35% (&gt;100t/h, </t>
  </si>
  <si>
    <t>Kõige lühem käivitusaeg: poolkoksigaasi suunamine elektrijaama 24 h pärast, gaasi hakkas tekkima 20 tunnil</t>
  </si>
  <si>
    <t>Kõike pikem: poolkoksigaasi suunamine elektrijaama 65 h pärast, gaasi hakkas tekkima 60 tunnil</t>
  </si>
  <si>
    <t>Kõige kauem suunati gaasi tõrvikusse</t>
  </si>
  <si>
    <t>Keskmine gaasi suunamine tõrvikusse:</t>
  </si>
  <si>
    <t>h tõrviku töö</t>
  </si>
  <si>
    <t>h tõrvik töö</t>
  </si>
  <si>
    <t>Nm3/h</t>
  </si>
  <si>
    <t>Olemasoleva Enefit280 seadme näitel ei ole summaarne käivituse kestus ja pookoksigaasi leektorru suunamise kestus omavahel sõltuvuses.</t>
  </si>
  <si>
    <t>Poolkoksigaasi alumine kütteväärtus</t>
  </si>
  <si>
    <t>MJ/nm3</t>
  </si>
  <si>
    <t>GJ/h</t>
  </si>
  <si>
    <t>Arvestatud ka propaani põlemisel tekkivat</t>
  </si>
  <si>
    <t>t/a (300 h)</t>
  </si>
  <si>
    <t>PM10,2.5</t>
  </si>
  <si>
    <t>Propaani kulu</t>
  </si>
  <si>
    <t>kg/h</t>
  </si>
  <si>
    <t>Vedelgaasi CO2 eriheide</t>
  </si>
  <si>
    <t>tC/TJ uttegaas</t>
  </si>
  <si>
    <t>MW kokku</t>
  </si>
  <si>
    <t>Suitsugaasi mahu ja kiiruse arvestamine tinglik</t>
  </si>
  <si>
    <t>mg/Nm3</t>
  </si>
  <si>
    <t>h, kui see juhtub 6 tsükli korral</t>
  </si>
  <si>
    <t>t/a (144 h)</t>
  </si>
  <si>
    <t>Arvestatud keskmise uttegaasi tekkega</t>
  </si>
  <si>
    <t>t/a (15 h)</t>
  </si>
  <si>
    <t>t/a (3 h)</t>
  </si>
  <si>
    <t>Uttegaasi alumine kütteväärtus</t>
  </si>
  <si>
    <t>Propaani alumine kütteväärtus</t>
  </si>
  <si>
    <t xml:space="preserve">Suitsugaasi mahu ja kiiruse arvestamine tinglik </t>
  </si>
  <si>
    <t>g/s, seisk</t>
  </si>
  <si>
    <t>mg/s</t>
  </si>
  <si>
    <t>260 t/a</t>
  </si>
  <si>
    <t>mol %</t>
  </si>
  <si>
    <t>M</t>
  </si>
  <si>
    <t>massi%</t>
  </si>
  <si>
    <t>N2</t>
  </si>
  <si>
    <t>H2</t>
  </si>
  <si>
    <t>CH4</t>
  </si>
  <si>
    <t>g/mol</t>
  </si>
  <si>
    <t>põlevosa:</t>
  </si>
  <si>
    <t>kmol</t>
  </si>
  <si>
    <t>kg/h põlev osa</t>
  </si>
  <si>
    <t>Alumine kütteväärtus:</t>
  </si>
  <si>
    <t>MJ/m3</t>
  </si>
  <si>
    <t>Tihedus</t>
  </si>
  <si>
    <t>kg/nm3</t>
  </si>
  <si>
    <t>PM2,5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</si>
  <si>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</si>
  <si>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</si>
  <si>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</si>
  <si>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</si>
  <si>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</si>
  <si>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</si>
  <si>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</si>
  <si>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</si>
  <si>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</si>
  <si>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</si>
  <si>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</si>
  <si>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</si>
  <si>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Eriheide</t>
  </si>
  <si>
    <t>Määruse nr 59 lisa 3 maagaasi põletamise eriheite järgi 2023 maksimum</t>
  </si>
  <si>
    <t>m3/h</t>
  </si>
  <si>
    <t>Arvutused põhinevad Keskkonnaministri 24.11.2016 määruse nr 59 toodud valemitel ja eriheidetel, välja arvatud juhul kui on viidatud muudele allikatele</t>
  </si>
  <si>
    <t>Arvestatud ka propaani põlemisel tekkivat heitkogust</t>
  </si>
  <si>
    <t>Põletusefektiivsusest sõltuvus</t>
  </si>
  <si>
    <t>99,9%</t>
  </si>
  <si>
    <t>99,7 %</t>
  </si>
  <si>
    <t>Maksimaalne arvestuslik uttegaasi teke</t>
  </si>
  <si>
    <t>Käivitusel</t>
  </si>
  <si>
    <t>35% maksimumist</t>
  </si>
  <si>
    <t>2021. a taotluse lähteandmetest lähtuv heide</t>
  </si>
  <si>
    <t>oktoober 2023 uttegaasi koostise järgi:</t>
  </si>
  <si>
    <t>SO2 heide on arvestatud uttegaasi H2S sisalduse põhjal, arvestades SO2 ja H2S molekulmasside suhet (64/34)</t>
  </si>
  <si>
    <t>Keskmine</t>
  </si>
  <si>
    <t>H25%</t>
  </si>
  <si>
    <t>Küttev., MJ/m3</t>
  </si>
  <si>
    <t>(2023. a andmetest lähuvalt max 45 MW)</t>
  </si>
  <si>
    <t>kulu põleti kohta</t>
  </si>
  <si>
    <t>m3/h LPG</t>
  </si>
  <si>
    <t>põleteid</t>
  </si>
  <si>
    <t>tunnid:</t>
  </si>
  <si>
    <t>katsetused</t>
  </si>
  <si>
    <t>tavarežiim</t>
  </si>
  <si>
    <t>Propaani kulu (2021 LHK)</t>
  </si>
  <si>
    <t>katsetusperioodil, 30 tsüklit:</t>
  </si>
  <si>
    <t>Propaani eeldatav kulu leektorus:</t>
  </si>
  <si>
    <t>leektoru suuteline suitsuvabas režiimis vastu võtma 22 000  kg/h gaasi</t>
  </si>
  <si>
    <t>nm3/h</t>
  </si>
  <si>
    <t>maksimaalselt</t>
  </si>
  <si>
    <t>arvestatud juurde põlemata jäänud kogus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</si>
</sst>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000"/>
    <numFmt numFmtId="167" formatCode="0.000000"/>
    <numFmt numFmtId="168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color theme="0" tint="-0.34998626667073579"/>
      <name val="Arial"/>
      <family val="2"/>
      <charset val="186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2E2E2E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1" xfId="1" applyBorder="1"/>
    <xf numFmtId="2" fontId="0" fillId="0" borderId="0" xfId="0" applyNumberFormat="1"/>
    <xf numFmtId="0" fontId="2" fillId="0" borderId="2" xfId="1" applyBorder="1"/>
    <xf numFmtId="0" fontId="0" fillId="2" borderId="0" xfId="0" applyFill="1"/>
    <xf numFmtId="164" fontId="0" fillId="0" borderId="0" xfId="0" applyNumberFormat="1"/>
    <xf numFmtId="165" fontId="0" fillId="0" borderId="0" xfId="0" applyNumberFormat="1"/>
    <xf numFmtId="0" fontId="2" fillId="0" borderId="0" xfId="1"/>
    <xf numFmtId="166" fontId="0" fillId="0" borderId="0" xfId="0" applyNumberFormat="1"/>
    <xf numFmtId="167" fontId="0" fillId="0" borderId="0" xfId="0" applyNumberFormat="1"/>
    <xf numFmtId="0" fontId="3" fillId="0" borderId="1" xfId="1" applyFont="1" applyBorder="1"/>
    <xf numFmtId="0" fontId="0" fillId="3" borderId="0" xfId="0" applyFill="1"/>
    <xf numFmtId="2" fontId="0" fillId="4" borderId="0" xfId="0" applyNumberFormat="1" applyFill="1"/>
    <xf numFmtId="165" fontId="1" fillId="0" borderId="0" xfId="0" applyNumberFormat="1" applyFont="1"/>
    <xf numFmtId="0" fontId="2" fillId="5" borderId="1" xfId="1" applyFill="1" applyBorder="1"/>
    <xf numFmtId="2" fontId="0" fillId="5" borderId="0" xfId="0" applyNumberFormat="1" applyFill="1"/>
    <xf numFmtId="0" fontId="2" fillId="5" borderId="0" xfId="1" applyFill="1"/>
    <xf numFmtId="0" fontId="0" fillId="5" borderId="0" xfId="0" applyFill="1"/>
    <xf numFmtId="0" fontId="4" fillId="0" borderId="0" xfId="0" applyFont="1"/>
    <xf numFmtId="0" fontId="5" fillId="0" borderId="0" xfId="0" applyFont="1"/>
    <xf numFmtId="0" fontId="1" fillId="5" borderId="0" xfId="0" applyFont="1" applyFill="1"/>
    <xf numFmtId="0" fontId="6" fillId="0" borderId="0" xfId="0" applyFont="1"/>
    <xf numFmtId="168" fontId="0" fillId="0" borderId="0" xfId="0" applyNumberFormat="1"/>
    <xf numFmtId="168" fontId="0" fillId="0" borderId="0" xfId="0" applyNumberFormat="1" applyAlignment="1">
      <alignment horizontal="center"/>
    </xf>
    <xf numFmtId="164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8" fillId="0" borderId="0" xfId="2" applyFill="1"/>
    <xf numFmtId="0" fontId="9" fillId="0" borderId="0" xfId="0" applyFont="1" applyFill="1"/>
    <xf numFmtId="168" fontId="1" fillId="0" borderId="0" xfId="0" applyNumberFormat="1" applyFont="1" applyFill="1"/>
    <xf numFmtId="164" fontId="0" fillId="0" borderId="0" xfId="0" applyNumberFormat="1" applyFill="1"/>
    <xf numFmtId="164" fontId="1" fillId="0" borderId="0" xfId="0" applyNumberFormat="1" applyFont="1"/>
  </cellXfs>
  <cellStyles count="3">
    <cellStyle name="Hüperlink" xfId="2" builtinId="8"/>
    <cellStyle name="Normaallaad" xfId="0" builtinId="0"/>
    <cellStyle name="Normal 2" xfId="1" xr:uid="{C72EBC07-F49E-4A4A-9552-06550960BE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BB73-2F7A-41DF-B410-7F74B52C3867}">
  <dimension ref="A2:Q48"/>
  <sheetViews>
    <sheetView topLeftCell="A38" workbookViewId="0">
      <selection activeCell="A58" sqref="A58"/>
    </sheetView>
  </sheetViews>
  <sheetFormatPr defaultRowHeight="14.5" x14ac:dyDescent="0.35"/>
  <cols>
    <col min="6" max="6" width="9.36328125" bestFit="1" customWidth="1"/>
  </cols>
  <sheetData>
    <row r="2" spans="1:15" x14ac:dyDescent="0.35">
      <c r="C2" s="1" t="s">
        <v>73</v>
      </c>
    </row>
    <row r="3" spans="1:15" x14ac:dyDescent="0.35">
      <c r="A3" s="2" t="s">
        <v>4</v>
      </c>
      <c r="B3" s="2" t="s">
        <v>5</v>
      </c>
      <c r="C3">
        <v>80</v>
      </c>
    </row>
    <row r="4" spans="1:15" x14ac:dyDescent="0.35">
      <c r="A4" s="2" t="s">
        <v>6</v>
      </c>
      <c r="B4" s="2" t="s">
        <v>5</v>
      </c>
      <c r="C4">
        <v>3</v>
      </c>
    </row>
    <row r="5" spans="1:15" x14ac:dyDescent="0.35">
      <c r="A5" s="2" t="s">
        <v>7</v>
      </c>
      <c r="B5" s="2" t="s">
        <v>8</v>
      </c>
      <c r="C5">
        <f>J14</f>
        <v>26.599999999999998</v>
      </c>
    </row>
    <row r="6" spans="1:15" x14ac:dyDescent="0.35">
      <c r="A6" s="2" t="s">
        <v>7</v>
      </c>
      <c r="B6" s="2" t="s">
        <v>9</v>
      </c>
      <c r="C6">
        <f>C5/1000</f>
        <v>2.6599999999999999E-2</v>
      </c>
      <c r="F6" t="s">
        <v>83</v>
      </c>
    </row>
    <row r="7" spans="1:15" x14ac:dyDescent="0.35">
      <c r="A7" s="2" t="s">
        <v>10</v>
      </c>
      <c r="B7" s="2" t="s">
        <v>11</v>
      </c>
      <c r="C7">
        <v>0</v>
      </c>
    </row>
    <row r="8" spans="1:15" x14ac:dyDescent="0.35">
      <c r="A8" s="2" t="s">
        <v>12</v>
      </c>
      <c r="B8" s="2" t="s">
        <v>11</v>
      </c>
      <c r="C8">
        <v>10</v>
      </c>
    </row>
    <row r="9" spans="1:15" x14ac:dyDescent="0.35">
      <c r="A9" s="2" t="s">
        <v>13</v>
      </c>
      <c r="B9" s="2"/>
      <c r="C9" s="3">
        <v>1.92</v>
      </c>
      <c r="E9" t="s">
        <v>70</v>
      </c>
    </row>
    <row r="10" spans="1:15" x14ac:dyDescent="0.35">
      <c r="A10" s="2" t="s">
        <v>14</v>
      </c>
      <c r="B10" s="2" t="s">
        <v>15</v>
      </c>
      <c r="C10">
        <v>180</v>
      </c>
      <c r="E10" t="s">
        <v>72</v>
      </c>
    </row>
    <row r="11" spans="1:15" x14ac:dyDescent="0.35">
      <c r="A11" s="2" t="s">
        <v>16</v>
      </c>
      <c r="B11" s="2" t="s">
        <v>17</v>
      </c>
      <c r="C11">
        <f>C5*C9*0.25</f>
        <v>12.767999999999999</v>
      </c>
      <c r="F11" s="1" t="s">
        <v>24</v>
      </c>
      <c r="H11" t="s">
        <v>63</v>
      </c>
    </row>
    <row r="12" spans="1:15" x14ac:dyDescent="0.35">
      <c r="A12" s="2" t="s">
        <v>18</v>
      </c>
      <c r="B12" s="2" t="s">
        <v>19</v>
      </c>
      <c r="C12" s="6">
        <f>C11*(273+C10)/273*(100+C7)/100</f>
        <v>21.186461538461536</v>
      </c>
      <c r="F12" t="s">
        <v>59</v>
      </c>
      <c r="G12">
        <v>0.7</v>
      </c>
      <c r="H12" t="s">
        <v>11</v>
      </c>
    </row>
    <row r="13" spans="1:15" x14ac:dyDescent="0.35">
      <c r="A13" s="2" t="s">
        <v>20</v>
      </c>
      <c r="B13" s="2" t="s">
        <v>21</v>
      </c>
      <c r="C13" s="3">
        <f>C12*4/PI()/(C4*C4)</f>
        <v>2.9972711826422</v>
      </c>
      <c r="F13" t="s">
        <v>60</v>
      </c>
      <c r="G13">
        <v>39.9</v>
      </c>
      <c r="H13" t="s">
        <v>65</v>
      </c>
    </row>
    <row r="14" spans="1:15" x14ac:dyDescent="0.35">
      <c r="A14" s="4" t="s">
        <v>22</v>
      </c>
      <c r="B14" s="4" t="s">
        <v>23</v>
      </c>
      <c r="C14">
        <v>1000</v>
      </c>
      <c r="F14" t="s">
        <v>61</v>
      </c>
      <c r="H14">
        <v>2.4</v>
      </c>
      <c r="I14" t="s">
        <v>62</v>
      </c>
      <c r="J14" s="12">
        <f>H14*G13/3.6</f>
        <v>26.599999999999998</v>
      </c>
      <c r="K14" t="s">
        <v>67</v>
      </c>
    </row>
    <row r="15" spans="1:15" x14ac:dyDescent="0.35">
      <c r="F15" t="s">
        <v>64</v>
      </c>
      <c r="H15">
        <v>1.6</v>
      </c>
      <c r="I15" t="s">
        <v>62</v>
      </c>
      <c r="J15" s="13">
        <f>H15*G13/3.6</f>
        <v>17.733333333333334</v>
      </c>
      <c r="K15" t="s">
        <v>66</v>
      </c>
    </row>
    <row r="16" spans="1:15" x14ac:dyDescent="0.35">
      <c r="F16" t="s">
        <v>68</v>
      </c>
      <c r="J16">
        <f>200*1.3</f>
        <v>260</v>
      </c>
      <c r="K16" t="s">
        <v>69</v>
      </c>
      <c r="N16">
        <v>200</v>
      </c>
      <c r="O16" t="s">
        <v>75</v>
      </c>
    </row>
    <row r="17" spans="1:17" x14ac:dyDescent="0.35">
      <c r="F17" s="3"/>
      <c r="J17">
        <f>1000*1.3</f>
        <v>1300</v>
      </c>
      <c r="K17" t="s">
        <v>76</v>
      </c>
    </row>
    <row r="18" spans="1:17" x14ac:dyDescent="0.35">
      <c r="C18" s="1"/>
      <c r="F18" s="3"/>
    </row>
    <row r="19" spans="1:17" x14ac:dyDescent="0.35">
      <c r="C19" s="1" t="s">
        <v>24</v>
      </c>
      <c r="D19" t="s">
        <v>25</v>
      </c>
      <c r="F19" s="3"/>
      <c r="L19" s="1" t="s">
        <v>77</v>
      </c>
      <c r="M19" t="s">
        <v>78</v>
      </c>
    </row>
    <row r="20" spans="1:17" x14ac:dyDescent="0.35">
      <c r="C20" t="s">
        <v>26</v>
      </c>
      <c r="D20" t="s">
        <v>27</v>
      </c>
      <c r="E20" t="s">
        <v>28</v>
      </c>
      <c r="F20" t="s">
        <v>0</v>
      </c>
      <c r="G20" t="s">
        <v>29</v>
      </c>
      <c r="H20" t="s">
        <v>71</v>
      </c>
      <c r="J20" s="1" t="s">
        <v>118</v>
      </c>
      <c r="M20" t="s">
        <v>79</v>
      </c>
    </row>
    <row r="21" spans="1:17" x14ac:dyDescent="0.35">
      <c r="A21" t="s">
        <v>1</v>
      </c>
      <c r="B21" t="s">
        <v>30</v>
      </c>
      <c r="C21" t="s">
        <v>31</v>
      </c>
      <c r="D21" s="5">
        <v>46.5</v>
      </c>
      <c r="F21" s="6">
        <f>20*G12*J14/G13</f>
        <v>9.3333333333333339</v>
      </c>
      <c r="G21" s="6">
        <f>0.02*J17*G12</f>
        <v>18.2</v>
      </c>
      <c r="H21" s="7">
        <f>H22*F21/F22</f>
        <v>730.99415204678371</v>
      </c>
      <c r="I21" s="7"/>
      <c r="J21" s="6">
        <f>G21*$J$16/1300</f>
        <v>3.64</v>
      </c>
      <c r="M21" t="s">
        <v>80</v>
      </c>
    </row>
    <row r="22" spans="1:17" x14ac:dyDescent="0.35">
      <c r="A22" t="s">
        <v>32</v>
      </c>
      <c r="B22" t="s">
        <v>30</v>
      </c>
      <c r="C22">
        <v>111</v>
      </c>
      <c r="D22" s="5">
        <v>65</v>
      </c>
      <c r="F22" s="6">
        <f>C22*$J$14/1000</f>
        <v>2.9525999999999999</v>
      </c>
      <c r="G22" s="6">
        <f>C22*$J$17*$G$13/1000/1000</f>
        <v>5.7575699999999994</v>
      </c>
      <c r="H22" s="3">
        <f>C22/$C$9/0.25</f>
        <v>231.25</v>
      </c>
      <c r="I22" s="3"/>
      <c r="J22" s="6">
        <f t="shared" ref="J22:J27" si="0">G22*$J$16/1300</f>
        <v>1.1515139999999999</v>
      </c>
    </row>
    <row r="23" spans="1:17" x14ac:dyDescent="0.35">
      <c r="A23" t="s">
        <v>2</v>
      </c>
      <c r="B23" t="s">
        <v>30</v>
      </c>
      <c r="C23">
        <v>42</v>
      </c>
      <c r="D23" s="5">
        <v>16.2</v>
      </c>
      <c r="F23" s="6">
        <f>C23*$J$14/1000</f>
        <v>1.1171999999999997</v>
      </c>
      <c r="G23" s="6">
        <f>C23*$J$17*$G$13/1000/1000</f>
        <v>2.1785399999999999</v>
      </c>
      <c r="H23" s="3">
        <f>C23/$C$9/0.25</f>
        <v>87.5</v>
      </c>
      <c r="I23" s="3"/>
      <c r="J23" s="6">
        <f t="shared" si="0"/>
        <v>0.43570799999999998</v>
      </c>
    </row>
    <row r="24" spans="1:17" x14ac:dyDescent="0.35">
      <c r="A24" s="8" t="s">
        <v>3</v>
      </c>
      <c r="B24" t="s">
        <v>30</v>
      </c>
      <c r="C24">
        <v>5</v>
      </c>
      <c r="D24" s="5">
        <v>0.8</v>
      </c>
      <c r="F24" s="6">
        <f>C24*$J$14/1000</f>
        <v>0.13300000000000001</v>
      </c>
      <c r="G24" s="6">
        <f>C24*$J$17*$G$13/1000/1000</f>
        <v>0.25935000000000002</v>
      </c>
      <c r="H24" s="3">
        <f>C24/$C$9/0.25</f>
        <v>10.416666666666668</v>
      </c>
      <c r="I24" s="3"/>
      <c r="J24" s="6">
        <f t="shared" si="0"/>
        <v>5.1870000000000006E-2</v>
      </c>
    </row>
    <row r="25" spans="1:17" x14ac:dyDescent="0.35">
      <c r="A25" s="8" t="s">
        <v>33</v>
      </c>
      <c r="B25" t="s">
        <v>30</v>
      </c>
      <c r="C25">
        <v>40</v>
      </c>
      <c r="D25" s="5">
        <v>6.5</v>
      </c>
      <c r="F25" s="6">
        <f>C25*J15/1000</f>
        <v>0.70933333333333337</v>
      </c>
      <c r="G25" s="6">
        <f>C25*$J$17*$G$13/1000/1000</f>
        <v>2.0748000000000002</v>
      </c>
      <c r="H25" s="3">
        <f>C25/$C$9/0.25</f>
        <v>83.333333333333343</v>
      </c>
      <c r="I25" s="3"/>
      <c r="J25" s="6">
        <f t="shared" si="0"/>
        <v>0.41496000000000005</v>
      </c>
      <c r="L25" s="1" t="s">
        <v>81</v>
      </c>
      <c r="P25">
        <f>177595.55/52800</f>
        <v>3.363552083333333</v>
      </c>
      <c r="Q25" t="s">
        <v>82</v>
      </c>
    </row>
    <row r="26" spans="1:17" x14ac:dyDescent="0.35">
      <c r="A26" s="8" t="s">
        <v>34</v>
      </c>
      <c r="B26" t="s">
        <v>30</v>
      </c>
      <c r="C26" s="5">
        <v>6</v>
      </c>
      <c r="D26">
        <v>3.2</v>
      </c>
      <c r="E26">
        <f>D26/D25</f>
        <v>0.49230769230769234</v>
      </c>
      <c r="F26" s="6">
        <f>F25*E26</f>
        <v>0.34921025641025644</v>
      </c>
      <c r="G26" s="6">
        <f>G25*E26</f>
        <v>1.0214400000000001</v>
      </c>
      <c r="H26" s="3">
        <f>H25*E26</f>
        <v>41.025641025641029</v>
      </c>
      <c r="J26" s="6">
        <f t="shared" si="0"/>
        <v>0.20428800000000003</v>
      </c>
    </row>
    <row r="27" spans="1:17" x14ac:dyDescent="0.35">
      <c r="A27" s="8" t="s">
        <v>35</v>
      </c>
      <c r="B27" t="s">
        <v>30</v>
      </c>
      <c r="C27" s="5">
        <v>6</v>
      </c>
      <c r="D27">
        <v>0.8</v>
      </c>
      <c r="E27">
        <f>D27/D25</f>
        <v>0.12307692307692308</v>
      </c>
      <c r="F27" s="6">
        <f>F25*E27</f>
        <v>8.7302564102564109E-2</v>
      </c>
      <c r="G27" s="6">
        <f>G25*F27</f>
        <v>0.18113536000000002</v>
      </c>
      <c r="H27" s="3">
        <f>H25*E27</f>
        <v>10.256410256410257</v>
      </c>
      <c r="J27" s="6">
        <f t="shared" si="0"/>
        <v>3.6227072000000006E-2</v>
      </c>
    </row>
    <row r="28" spans="1:17" x14ac:dyDescent="0.35">
      <c r="C28" s="5"/>
      <c r="D28" s="5"/>
      <c r="F28" s="6"/>
      <c r="H28" s="3"/>
    </row>
    <row r="29" spans="1:17" x14ac:dyDescent="0.35">
      <c r="C29" s="5"/>
      <c r="D29" s="5"/>
      <c r="F29" s="6" t="s">
        <v>117</v>
      </c>
      <c r="G29" t="s">
        <v>38</v>
      </c>
      <c r="I29" t="s">
        <v>71</v>
      </c>
    </row>
    <row r="30" spans="1:17" x14ac:dyDescent="0.35">
      <c r="A30" t="s">
        <v>36</v>
      </c>
      <c r="B30" t="s">
        <v>37</v>
      </c>
      <c r="C30">
        <v>0.1</v>
      </c>
      <c r="D30" s="5">
        <v>1.36</v>
      </c>
      <c r="F30" s="9">
        <f>$J$15*C30/1000</f>
        <v>1.7733333333333334E-3</v>
      </c>
      <c r="G30" s="6">
        <f>C30*$J$17*$G$13/1000/1000</f>
        <v>5.1870000000000006E-3</v>
      </c>
      <c r="H30" t="s">
        <v>38</v>
      </c>
      <c r="I30" s="10">
        <f>C30/$C$9/0.25/1000</f>
        <v>2.0833333333333335E-4</v>
      </c>
      <c r="J30">
        <f>G30*260/1300</f>
        <v>1.0374000000000002E-3</v>
      </c>
    </row>
    <row r="31" spans="1:17" x14ac:dyDescent="0.35">
      <c r="A31" s="2" t="s">
        <v>39</v>
      </c>
      <c r="B31" t="s">
        <v>37</v>
      </c>
      <c r="C31">
        <v>0.3</v>
      </c>
      <c r="D31" s="5">
        <v>1.36</v>
      </c>
      <c r="F31" s="9">
        <f t="shared" ref="F31:F37" si="1">$J$15*C31/1000</f>
        <v>5.3200000000000001E-3</v>
      </c>
      <c r="G31" s="6">
        <f t="shared" ref="G31:G43" si="2">C31*$J$17*$G$13/1000/1000</f>
        <v>1.5561E-2</v>
      </c>
      <c r="H31" t="s">
        <v>38</v>
      </c>
      <c r="I31" s="10">
        <f t="shared" ref="I31:I43" si="3">C31/$C$9/0.25/1000</f>
        <v>6.2500000000000001E-4</v>
      </c>
      <c r="J31">
        <f t="shared" ref="J31:J43" si="4">G31*260/1300</f>
        <v>3.1122000000000003E-3</v>
      </c>
    </row>
    <row r="32" spans="1:17" x14ac:dyDescent="0.35">
      <c r="A32" s="2" t="s">
        <v>40</v>
      </c>
      <c r="B32" t="s">
        <v>37</v>
      </c>
      <c r="C32">
        <v>10</v>
      </c>
      <c r="D32" s="5">
        <v>4.07</v>
      </c>
      <c r="F32" s="9">
        <f t="shared" si="1"/>
        <v>0.17733333333333334</v>
      </c>
      <c r="G32" s="6">
        <f t="shared" si="2"/>
        <v>0.51870000000000005</v>
      </c>
      <c r="H32" t="s">
        <v>38</v>
      </c>
      <c r="I32" s="10">
        <f t="shared" si="3"/>
        <v>2.0833333333333336E-2</v>
      </c>
      <c r="J32">
        <f t="shared" si="4"/>
        <v>0.10374000000000001</v>
      </c>
    </row>
    <row r="33" spans="1:10" x14ac:dyDescent="0.35">
      <c r="A33" s="2" t="s">
        <v>41</v>
      </c>
      <c r="B33" t="s">
        <v>37</v>
      </c>
      <c r="C33">
        <v>6</v>
      </c>
      <c r="D33" s="5">
        <v>2.72</v>
      </c>
      <c r="F33" s="9">
        <f t="shared" si="1"/>
        <v>0.10640000000000001</v>
      </c>
      <c r="G33" s="6">
        <f t="shared" si="2"/>
        <v>0.31122000000000005</v>
      </c>
      <c r="H33" t="s">
        <v>38</v>
      </c>
      <c r="I33" s="10">
        <f t="shared" si="3"/>
        <v>1.2500000000000001E-2</v>
      </c>
      <c r="J33">
        <f t="shared" si="4"/>
        <v>6.2244000000000008E-2</v>
      </c>
    </row>
    <row r="34" spans="1:10" x14ac:dyDescent="0.35">
      <c r="A34" s="2" t="s">
        <v>42</v>
      </c>
      <c r="B34" t="s">
        <v>37</v>
      </c>
      <c r="C34">
        <v>5</v>
      </c>
      <c r="D34" s="5">
        <v>1.81</v>
      </c>
      <c r="F34" s="9">
        <f t="shared" si="1"/>
        <v>8.8666666666666671E-2</v>
      </c>
      <c r="G34" s="6">
        <f t="shared" si="2"/>
        <v>0.25935000000000002</v>
      </c>
      <c r="H34" t="s">
        <v>38</v>
      </c>
      <c r="I34" s="10">
        <f t="shared" si="3"/>
        <v>1.0416666666666668E-2</v>
      </c>
      <c r="J34">
        <f t="shared" si="4"/>
        <v>5.1870000000000006E-2</v>
      </c>
    </row>
    <row r="35" spans="1:10" x14ac:dyDescent="0.35">
      <c r="A35" s="2" t="s">
        <v>43</v>
      </c>
      <c r="B35" t="s">
        <v>37</v>
      </c>
      <c r="C35">
        <v>44.5</v>
      </c>
      <c r="D35" s="5">
        <v>1.81</v>
      </c>
      <c r="F35" s="9">
        <f t="shared" si="1"/>
        <v>0.78913333333333335</v>
      </c>
      <c r="G35" s="6">
        <f t="shared" si="2"/>
        <v>2.3082150000000001</v>
      </c>
      <c r="H35" t="s">
        <v>38</v>
      </c>
      <c r="I35" s="10">
        <f t="shared" si="3"/>
        <v>9.2708333333333337E-2</v>
      </c>
      <c r="J35">
        <f t="shared" si="4"/>
        <v>0.46164299999999997</v>
      </c>
    </row>
    <row r="36" spans="1:10" x14ac:dyDescent="0.35">
      <c r="A36" s="2" t="s">
        <v>44</v>
      </c>
      <c r="B36" t="s">
        <v>37</v>
      </c>
      <c r="C36">
        <v>20</v>
      </c>
      <c r="D36" s="5">
        <v>1.36</v>
      </c>
      <c r="F36" s="9">
        <f t="shared" si="1"/>
        <v>0.35466666666666669</v>
      </c>
      <c r="G36" s="6">
        <f t="shared" si="2"/>
        <v>1.0374000000000001</v>
      </c>
      <c r="H36" t="s">
        <v>38</v>
      </c>
      <c r="I36" s="10">
        <f t="shared" si="3"/>
        <v>4.1666666666666671E-2</v>
      </c>
      <c r="J36">
        <f t="shared" si="4"/>
        <v>0.20748000000000003</v>
      </c>
    </row>
    <row r="37" spans="1:10" x14ac:dyDescent="0.35">
      <c r="A37" s="2" t="s">
        <v>45</v>
      </c>
      <c r="B37" t="s">
        <v>37</v>
      </c>
      <c r="C37">
        <v>200</v>
      </c>
      <c r="D37" s="5">
        <v>1.36</v>
      </c>
      <c r="F37" s="9">
        <f t="shared" si="1"/>
        <v>3.5466666666666669</v>
      </c>
      <c r="G37" s="6">
        <f t="shared" si="2"/>
        <v>10.374000000000001</v>
      </c>
      <c r="H37" t="s">
        <v>38</v>
      </c>
      <c r="I37" s="10">
        <f t="shared" si="3"/>
        <v>0.41666666666666669</v>
      </c>
      <c r="J37">
        <f t="shared" si="4"/>
        <v>2.0748000000000002</v>
      </c>
    </row>
    <row r="38" spans="1:10" x14ac:dyDescent="0.35">
      <c r="A38" s="2" t="s">
        <v>46</v>
      </c>
      <c r="B38" t="s">
        <v>37</v>
      </c>
      <c r="C38" s="5"/>
      <c r="D38">
        <v>6.79</v>
      </c>
      <c r="F38" s="9">
        <f>$J$15*D38/1000</f>
        <v>0.12040933333333334</v>
      </c>
      <c r="G38" s="6">
        <f>D38*$J$17*$G$13/1000/1000</f>
        <v>0.35219729999999999</v>
      </c>
      <c r="H38" t="s">
        <v>38</v>
      </c>
      <c r="I38" s="10">
        <f>D38/$C$9/0.25/1000</f>
        <v>1.4145833333333333E-2</v>
      </c>
      <c r="J38">
        <f t="shared" si="4"/>
        <v>7.0439459999999995E-2</v>
      </c>
    </row>
    <row r="39" spans="1:10" x14ac:dyDescent="0.35">
      <c r="A39" s="11" t="s">
        <v>47</v>
      </c>
      <c r="B39" t="s">
        <v>37</v>
      </c>
      <c r="C39" s="5"/>
      <c r="D39" s="5"/>
      <c r="F39" s="9">
        <f>$J$15*C39/1000</f>
        <v>0</v>
      </c>
      <c r="G39" s="6">
        <f t="shared" si="2"/>
        <v>0</v>
      </c>
      <c r="I39" s="10"/>
      <c r="J39">
        <f t="shared" si="4"/>
        <v>0</v>
      </c>
    </row>
    <row r="40" spans="1:10" x14ac:dyDescent="0.35">
      <c r="A40" s="2" t="s">
        <v>48</v>
      </c>
      <c r="B40" t="s">
        <v>37</v>
      </c>
      <c r="C40">
        <v>1</v>
      </c>
      <c r="D40" s="5"/>
      <c r="F40" s="9">
        <f>$J$15*C40/1000</f>
        <v>1.7733333333333334E-2</v>
      </c>
      <c r="G40" s="6">
        <f t="shared" si="2"/>
        <v>5.1869999999999999E-2</v>
      </c>
      <c r="H40" t="s">
        <v>38</v>
      </c>
      <c r="I40" s="10">
        <f t="shared" si="3"/>
        <v>2.0833333333333333E-3</v>
      </c>
      <c r="J40">
        <f t="shared" si="4"/>
        <v>1.0374E-2</v>
      </c>
    </row>
    <row r="41" spans="1:10" x14ac:dyDescent="0.35">
      <c r="A41" s="2" t="s">
        <v>49</v>
      </c>
      <c r="B41" t="s">
        <v>37</v>
      </c>
      <c r="C41">
        <v>1</v>
      </c>
      <c r="D41" s="5"/>
      <c r="F41" s="9">
        <f>$J$15*C41/1000</f>
        <v>1.7733333333333334E-2</v>
      </c>
      <c r="G41" s="6">
        <f t="shared" si="2"/>
        <v>5.1869999999999999E-2</v>
      </c>
      <c r="H41" t="s">
        <v>38</v>
      </c>
      <c r="I41" s="10">
        <f t="shared" si="3"/>
        <v>2.0833333333333333E-3</v>
      </c>
      <c r="J41">
        <f t="shared" si="4"/>
        <v>1.0374E-2</v>
      </c>
    </row>
    <row r="42" spans="1:10" x14ac:dyDescent="0.35">
      <c r="A42" s="2" t="s">
        <v>50</v>
      </c>
      <c r="B42" t="s">
        <v>37</v>
      </c>
      <c r="C42">
        <v>1</v>
      </c>
      <c r="D42" s="5"/>
      <c r="F42" s="9">
        <f>$J$15*C42/1000</f>
        <v>1.7733333333333334E-2</v>
      </c>
      <c r="G42" s="6">
        <f t="shared" si="2"/>
        <v>5.1869999999999999E-2</v>
      </c>
      <c r="H42" t="s">
        <v>38</v>
      </c>
      <c r="I42" s="10">
        <f t="shared" si="3"/>
        <v>2.0833333333333333E-3</v>
      </c>
      <c r="J42">
        <f t="shared" si="4"/>
        <v>1.0374E-2</v>
      </c>
    </row>
    <row r="43" spans="1:10" x14ac:dyDescent="0.35">
      <c r="A43" s="2" t="s">
        <v>51</v>
      </c>
      <c r="B43" t="s">
        <v>37</v>
      </c>
      <c r="C43">
        <v>1</v>
      </c>
      <c r="D43" s="5">
        <v>6.9199999999999999E-3</v>
      </c>
      <c r="F43" s="9">
        <f>$J$15*C43/1000</f>
        <v>1.7733333333333334E-2</v>
      </c>
      <c r="G43" s="6">
        <f t="shared" si="2"/>
        <v>5.1869999999999999E-2</v>
      </c>
      <c r="H43" t="s">
        <v>38</v>
      </c>
      <c r="I43" s="10">
        <f t="shared" si="3"/>
        <v>2.0833333333333333E-3</v>
      </c>
      <c r="J43">
        <f t="shared" si="4"/>
        <v>1.0374E-2</v>
      </c>
    </row>
    <row r="44" spans="1:10" x14ac:dyDescent="0.35">
      <c r="A44" s="2" t="s">
        <v>52</v>
      </c>
      <c r="C44" s="5"/>
      <c r="D44" s="5"/>
      <c r="F44" s="9"/>
      <c r="I44" s="6"/>
    </row>
    <row r="45" spans="1:10" x14ac:dyDescent="0.35">
      <c r="A45" s="11" t="s">
        <v>53</v>
      </c>
      <c r="C45" s="5"/>
      <c r="D45" s="5"/>
      <c r="F45" s="9" t="s">
        <v>74</v>
      </c>
      <c r="I45" s="6"/>
    </row>
    <row r="46" spans="1:10" x14ac:dyDescent="0.35">
      <c r="A46" s="2" t="s">
        <v>54</v>
      </c>
      <c r="B46" t="s">
        <v>55</v>
      </c>
      <c r="C46">
        <v>10</v>
      </c>
      <c r="D46" s="5">
        <v>0.5</v>
      </c>
      <c r="F46" s="9">
        <f>$J$15*C46/1000/1000</f>
        <v>1.7733333333333335E-4</v>
      </c>
      <c r="G46" s="6">
        <f>C46*$J$17*$G$13/1000/1000</f>
        <v>0.51870000000000005</v>
      </c>
      <c r="H46" t="s">
        <v>56</v>
      </c>
      <c r="I46" s="6">
        <f>C46/1.4/0.25/1000/1000/1000</f>
        <v>2.8571428571428575E-8</v>
      </c>
    </row>
    <row r="48" spans="1:10" x14ac:dyDescent="0.35">
      <c r="A48" s="8" t="s">
        <v>57</v>
      </c>
      <c r="D48" t="s">
        <v>58</v>
      </c>
      <c r="E48">
        <v>21.1</v>
      </c>
      <c r="G48" s="6">
        <f>J17*G13/1000*E48*3.664</f>
        <v>4010.0904480000004</v>
      </c>
      <c r="H48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A901-7B40-4DC0-9430-682DD29110FA}">
  <dimension ref="A1:AC42"/>
  <sheetViews>
    <sheetView workbookViewId="0">
      <selection activeCell="H22" sqref="H22"/>
    </sheetView>
  </sheetViews>
  <sheetFormatPr defaultRowHeight="14.5" x14ac:dyDescent="0.35"/>
  <cols>
    <col min="3" max="3" width="9.36328125" bestFit="1" customWidth="1"/>
    <col min="9" max="9" width="9.81640625" bestFit="1" customWidth="1"/>
  </cols>
  <sheetData>
    <row r="1" spans="1:29" x14ac:dyDescent="0.35">
      <c r="A1" s="22" t="s">
        <v>149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9" x14ac:dyDescent="0.35">
      <c r="A2" s="20" t="s">
        <v>157</v>
      </c>
      <c r="F2" t="s">
        <v>154</v>
      </c>
      <c r="J2">
        <v>12000</v>
      </c>
      <c r="K2" t="s">
        <v>93</v>
      </c>
      <c r="M2" t="s">
        <v>95</v>
      </c>
      <c r="Q2">
        <v>49.19</v>
      </c>
      <c r="R2" t="s">
        <v>96</v>
      </c>
      <c r="S2" s="7">
        <f>J3*Q2/1000</f>
        <v>206.59800000000001</v>
      </c>
      <c r="T2" t="s">
        <v>97</v>
      </c>
    </row>
    <row r="3" spans="1:29" x14ac:dyDescent="0.35">
      <c r="G3" t="s">
        <v>155</v>
      </c>
      <c r="H3" t="s">
        <v>156</v>
      </c>
      <c r="J3" s="1">
        <f>J2*0.35</f>
        <v>4200</v>
      </c>
      <c r="K3" t="s">
        <v>93</v>
      </c>
      <c r="S3" s="34">
        <f>S2/3.6</f>
        <v>57.388333333333335</v>
      </c>
      <c r="T3" t="s">
        <v>8</v>
      </c>
      <c r="U3" t="s">
        <v>163</v>
      </c>
    </row>
    <row r="4" spans="1:29" x14ac:dyDescent="0.35">
      <c r="B4" t="s">
        <v>0</v>
      </c>
      <c r="C4" t="s">
        <v>99</v>
      </c>
      <c r="D4" t="s">
        <v>109</v>
      </c>
      <c r="E4" t="s">
        <v>107</v>
      </c>
      <c r="F4" t="s">
        <v>30</v>
      </c>
      <c r="G4" t="s">
        <v>170</v>
      </c>
      <c r="J4">
        <v>13.56</v>
      </c>
      <c r="K4" t="s">
        <v>102</v>
      </c>
      <c r="M4" t="s">
        <v>114</v>
      </c>
      <c r="P4">
        <v>50.4</v>
      </c>
      <c r="Q4" t="s">
        <v>65</v>
      </c>
      <c r="R4">
        <f>J4*P4/3600</f>
        <v>0.18983999999999998</v>
      </c>
      <c r="S4" s="23">
        <f>R4</f>
        <v>0.18983999999999998</v>
      </c>
      <c r="T4" t="s">
        <v>8</v>
      </c>
    </row>
    <row r="5" spans="1:29" x14ac:dyDescent="0.35">
      <c r="A5" t="s">
        <v>84</v>
      </c>
      <c r="B5" s="6">
        <f>S3*F5/1000+S4*F5/1000</f>
        <v>2.4643458186666662</v>
      </c>
      <c r="C5" s="6">
        <f t="shared" ref="C5:C10" si="0">B5*3.6*$C$12/1000</f>
        <v>2.6614934841599993</v>
      </c>
      <c r="D5" s="6">
        <f t="shared" ref="D5:D10" si="1">B5*3.6*$D$12/1000</f>
        <v>1.2775168723967998</v>
      </c>
      <c r="E5" s="3">
        <f t="shared" ref="E5:E10" si="2">B5/$C$30*1000</f>
        <v>89.166666666666657</v>
      </c>
      <c r="F5">
        <v>42.8</v>
      </c>
      <c r="G5" t="s">
        <v>150</v>
      </c>
      <c r="S5" s="7">
        <f>S3+S4</f>
        <v>57.578173333333332</v>
      </c>
      <c r="T5" t="s">
        <v>105</v>
      </c>
      <c r="AB5" s="3"/>
    </row>
    <row r="6" spans="1:29" x14ac:dyDescent="0.35">
      <c r="A6" t="s">
        <v>2</v>
      </c>
      <c r="B6" s="6">
        <f>S3*F6/1000+S4*F6/1000</f>
        <v>1.7273452</v>
      </c>
      <c r="C6" s="6">
        <f t="shared" si="0"/>
        <v>1.8655328160000002</v>
      </c>
      <c r="D6" s="6">
        <f t="shared" si="1"/>
        <v>0.89545575168000002</v>
      </c>
      <c r="E6" s="3">
        <f t="shared" si="2"/>
        <v>62.500000000000014</v>
      </c>
      <c r="F6">
        <v>30</v>
      </c>
    </row>
    <row r="7" spans="1:29" x14ac:dyDescent="0.35">
      <c r="A7" t="s">
        <v>1</v>
      </c>
      <c r="B7">
        <v>53.338000000000001</v>
      </c>
      <c r="C7" s="6">
        <f t="shared" si="0"/>
        <v>57.60504000000001</v>
      </c>
      <c r="D7" s="6">
        <f t="shared" si="1"/>
        <v>27.650419200000005</v>
      </c>
      <c r="E7" s="3">
        <f t="shared" si="2"/>
        <v>1929.9124459893717</v>
      </c>
      <c r="F7" t="s">
        <v>159</v>
      </c>
    </row>
    <row r="8" spans="1:29" x14ac:dyDescent="0.35">
      <c r="A8" t="s">
        <v>85</v>
      </c>
      <c r="B8">
        <v>8.5000000000000006E-2</v>
      </c>
      <c r="C8" s="6">
        <f t="shared" si="0"/>
        <v>9.1800000000000007E-2</v>
      </c>
      <c r="D8" s="6">
        <f t="shared" si="1"/>
        <v>4.4064000000000006E-2</v>
      </c>
      <c r="E8" s="3">
        <f t="shared" si="2"/>
        <v>3.0755288520210096</v>
      </c>
      <c r="T8" s="20" t="s">
        <v>158</v>
      </c>
      <c r="Z8" t="s">
        <v>151</v>
      </c>
    </row>
    <row r="9" spans="1:29" x14ac:dyDescent="0.35">
      <c r="A9" t="s">
        <v>3</v>
      </c>
      <c r="B9">
        <v>3.0529999999999999</v>
      </c>
      <c r="C9" s="6">
        <f t="shared" si="0"/>
        <v>3.2972400000000004</v>
      </c>
      <c r="D9" s="6">
        <f t="shared" si="1"/>
        <v>1.5826752000000002</v>
      </c>
      <c r="E9" s="3">
        <f t="shared" si="2"/>
        <v>110.46575982611931</v>
      </c>
      <c r="F9">
        <v>2</v>
      </c>
      <c r="G9" t="s">
        <v>176</v>
      </c>
      <c r="U9" t="s">
        <v>119</v>
      </c>
      <c r="V9" t="s">
        <v>120</v>
      </c>
      <c r="W9" t="s">
        <v>28</v>
      </c>
      <c r="X9" t="s">
        <v>121</v>
      </c>
      <c r="Y9" t="s">
        <v>102</v>
      </c>
      <c r="Z9" t="s">
        <v>153</v>
      </c>
      <c r="AA9" t="s">
        <v>0</v>
      </c>
      <c r="AB9" t="s">
        <v>152</v>
      </c>
      <c r="AC9" t="s">
        <v>0</v>
      </c>
    </row>
    <row r="10" spans="1:29" x14ac:dyDescent="0.35">
      <c r="A10" t="s">
        <v>100</v>
      </c>
      <c r="B10" s="6">
        <f>S3*F10/1000+S4*F10/1000</f>
        <v>2.5910177999999999E-2</v>
      </c>
      <c r="C10" s="6">
        <f t="shared" si="0"/>
        <v>2.7982992240000001E-2</v>
      </c>
      <c r="D10" s="6">
        <f t="shared" si="1"/>
        <v>1.3431836275200001E-2</v>
      </c>
      <c r="E10" s="3">
        <f t="shared" si="2"/>
        <v>0.93750000000000011</v>
      </c>
      <c r="F10">
        <v>0.45</v>
      </c>
      <c r="T10" t="s">
        <v>57</v>
      </c>
      <c r="U10">
        <v>13.96</v>
      </c>
      <c r="V10">
        <v>44.01</v>
      </c>
      <c r="W10">
        <f t="shared" ref="W10:W17" si="3">U10*V10/100</f>
        <v>6.143796</v>
      </c>
      <c r="X10" s="6">
        <f>W10/$W$18</f>
        <v>0.19000419322004675</v>
      </c>
    </row>
    <row r="11" spans="1:29" x14ac:dyDescent="0.35">
      <c r="A11" t="s">
        <v>57</v>
      </c>
      <c r="C11" s="6">
        <f>(J3*F11*Q2/1000/1000+J4*P4*L11/1000/1000)*3.664*C12</f>
        <v>4509.3529058457598</v>
      </c>
      <c r="D11">
        <f>4.102*3.664*D12</f>
        <v>2164.2808320000004</v>
      </c>
      <c r="F11">
        <v>19.8</v>
      </c>
      <c r="G11" t="s">
        <v>104</v>
      </c>
      <c r="I11" t="s">
        <v>103</v>
      </c>
      <c r="L11">
        <v>17.2</v>
      </c>
      <c r="M11" t="s">
        <v>58</v>
      </c>
      <c r="T11" t="s">
        <v>12</v>
      </c>
      <c r="U11">
        <v>0.15</v>
      </c>
      <c r="V11">
        <v>32</v>
      </c>
      <c r="W11">
        <f t="shared" si="3"/>
        <v>4.8000000000000001E-2</v>
      </c>
      <c r="X11" s="6">
        <f t="shared" ref="X11:X17" si="4">W11/$W$18</f>
        <v>1.4844570481445417E-3</v>
      </c>
    </row>
    <row r="12" spans="1:29" x14ac:dyDescent="0.35">
      <c r="B12" t="s">
        <v>167</v>
      </c>
      <c r="C12">
        <v>300</v>
      </c>
      <c r="D12">
        <v>144</v>
      </c>
      <c r="T12" t="s">
        <v>122</v>
      </c>
      <c r="U12">
        <v>16.45</v>
      </c>
      <c r="V12">
        <v>28.01</v>
      </c>
      <c r="W12">
        <f t="shared" si="3"/>
        <v>4.6076449999999998</v>
      </c>
      <c r="X12" s="6">
        <f t="shared" si="4"/>
        <v>0.14249689782495745</v>
      </c>
    </row>
    <row r="13" spans="1:29" x14ac:dyDescent="0.35">
      <c r="C13" t="s">
        <v>168</v>
      </c>
      <c r="D13" t="s">
        <v>169</v>
      </c>
      <c r="T13" t="s">
        <v>123</v>
      </c>
      <c r="U13">
        <v>9.93</v>
      </c>
      <c r="V13">
        <v>2.016</v>
      </c>
      <c r="W13">
        <f t="shared" si="3"/>
        <v>0.2001888</v>
      </c>
      <c r="X13" s="6">
        <f t="shared" si="4"/>
        <v>6.1910765649916258E-3</v>
      </c>
    </row>
    <row r="14" spans="1:29" x14ac:dyDescent="0.35">
      <c r="T14" t="s">
        <v>124</v>
      </c>
      <c r="U14">
        <v>11.96</v>
      </c>
      <c r="V14">
        <v>16.04</v>
      </c>
      <c r="W14">
        <f t="shared" si="3"/>
        <v>1.9183840000000001</v>
      </c>
      <c r="X14" s="6">
        <f t="shared" si="4"/>
        <v>5.932830520516081E-2</v>
      </c>
    </row>
    <row r="15" spans="1:29" x14ac:dyDescent="0.35">
      <c r="T15" t="s">
        <v>85</v>
      </c>
      <c r="U15">
        <v>2.15</v>
      </c>
      <c r="V15">
        <v>34.08</v>
      </c>
      <c r="W15">
        <f t="shared" si="3"/>
        <v>0.73271999999999993</v>
      </c>
      <c r="X15" s="6">
        <f t="shared" si="4"/>
        <v>2.2660236839926427E-2</v>
      </c>
      <c r="Y15">
        <f>X15*$W$21</f>
        <v>137.38499999999999</v>
      </c>
      <c r="Z15">
        <f>Y15*0.003</f>
        <v>0.41215499999999999</v>
      </c>
      <c r="AA15" s="24">
        <f>Z15/3.6</f>
        <v>0.11448749999999999</v>
      </c>
      <c r="AB15">
        <f>Y15*0.001</f>
        <v>0.13738500000000001</v>
      </c>
      <c r="AC15" s="23">
        <f>AB15/3.6</f>
        <v>3.8162500000000002E-2</v>
      </c>
    </row>
    <row r="16" spans="1:29" x14ac:dyDescent="0.35">
      <c r="A16" s="1" t="s">
        <v>94</v>
      </c>
      <c r="T16" t="s">
        <v>2</v>
      </c>
      <c r="U16">
        <v>8.31</v>
      </c>
      <c r="V16">
        <v>28.01</v>
      </c>
      <c r="W16">
        <f t="shared" si="3"/>
        <v>2.3276310000000002</v>
      </c>
      <c r="X16" s="6">
        <f t="shared" si="4"/>
        <v>7.1984755071452675E-2</v>
      </c>
      <c r="Y16">
        <f t="shared" ref="Y16:Y17" si="5">X16*$W$21</f>
        <v>436.43081250000006</v>
      </c>
      <c r="Z16">
        <f>Y16*0.003</f>
        <v>1.3092924375000001</v>
      </c>
      <c r="AA16" s="24">
        <f>Z16/3.6</f>
        <v>0.36369234375000004</v>
      </c>
      <c r="AB16">
        <f t="shared" ref="AB16:AB17" si="6">Y16*0.001</f>
        <v>0.43643081250000004</v>
      </c>
      <c r="AC16" s="23">
        <f t="shared" ref="AC16:AC17" si="7">AB16/3.6</f>
        <v>0.12123078125</v>
      </c>
    </row>
    <row r="17" spans="1:29" x14ac:dyDescent="0.35">
      <c r="A17" t="s">
        <v>86</v>
      </c>
      <c r="T17" t="s">
        <v>3</v>
      </c>
      <c r="U17">
        <f>100-SUM(U10:U16)</f>
        <v>37.089999999999996</v>
      </c>
      <c r="V17">
        <v>44.1</v>
      </c>
      <c r="W17">
        <f t="shared" si="3"/>
        <v>16.35669</v>
      </c>
      <c r="X17" s="6">
        <f t="shared" si="4"/>
        <v>0.50585007822531969</v>
      </c>
      <c r="Y17">
        <f t="shared" si="5"/>
        <v>3066.879375</v>
      </c>
      <c r="Z17">
        <f>Y17*0.003</f>
        <v>9.2006381249999993</v>
      </c>
      <c r="AA17" s="24">
        <f>Z17/3.6</f>
        <v>2.5557328124999996</v>
      </c>
      <c r="AB17">
        <f t="shared" si="6"/>
        <v>3.0668793750000001</v>
      </c>
      <c r="AC17" s="23">
        <f t="shared" si="7"/>
        <v>0.85191093750000002</v>
      </c>
    </row>
    <row r="18" spans="1:29" x14ac:dyDescent="0.35">
      <c r="A18" t="s">
        <v>87</v>
      </c>
      <c r="L18">
        <v>4</v>
      </c>
      <c r="M18" t="s">
        <v>91</v>
      </c>
      <c r="W18">
        <f>SUM(W10:W17)</f>
        <v>32.335054800000002</v>
      </c>
      <c r="X18" t="s">
        <v>125</v>
      </c>
    </row>
    <row r="19" spans="1:29" x14ac:dyDescent="0.35">
      <c r="A19" t="s">
        <v>88</v>
      </c>
      <c r="L19">
        <v>5</v>
      </c>
      <c r="M19" t="s">
        <v>92</v>
      </c>
      <c r="T19" t="s">
        <v>129</v>
      </c>
      <c r="W19" t="s">
        <v>126</v>
      </c>
      <c r="X19">
        <f>X11+X13+X14+X15+X16+X17</f>
        <v>0.66749890895499575</v>
      </c>
      <c r="Z19" s="1"/>
    </row>
    <row r="20" spans="1:29" x14ac:dyDescent="0.35">
      <c r="A20" t="s">
        <v>89</v>
      </c>
      <c r="L20">
        <v>24</v>
      </c>
      <c r="M20" t="s">
        <v>23</v>
      </c>
      <c r="N20">
        <f>6*L20</f>
        <v>144</v>
      </c>
      <c r="O20" t="s">
        <v>108</v>
      </c>
      <c r="U20">
        <v>36.54</v>
      </c>
      <c r="V20" t="s">
        <v>130</v>
      </c>
      <c r="W20">
        <f>U24/22.4</f>
        <v>187.5</v>
      </c>
      <c r="X20" t="s">
        <v>127</v>
      </c>
      <c r="Z20" s="19"/>
      <c r="AC20" s="6"/>
    </row>
    <row r="21" spans="1:29" x14ac:dyDescent="0.35">
      <c r="A21" t="s">
        <v>90</v>
      </c>
      <c r="L21" s="1">
        <v>10</v>
      </c>
      <c r="M21" t="s">
        <v>23</v>
      </c>
      <c r="N21" t="s">
        <v>171</v>
      </c>
      <c r="Q21">
        <f>L21*30</f>
        <v>300</v>
      </c>
      <c r="R21" t="s">
        <v>23</v>
      </c>
      <c r="T21" t="s">
        <v>131</v>
      </c>
      <c r="U21">
        <v>1.3209</v>
      </c>
      <c r="V21" t="s">
        <v>132</v>
      </c>
      <c r="W21">
        <f>W20*W18</f>
        <v>6062.8227750000005</v>
      </c>
      <c r="X21" t="s">
        <v>102</v>
      </c>
    </row>
    <row r="22" spans="1:29" x14ac:dyDescent="0.35">
      <c r="A22" t="s">
        <v>106</v>
      </c>
      <c r="W22">
        <f>W21*X19</f>
        <v>4046.9275874999998</v>
      </c>
      <c r="X22" t="s">
        <v>128</v>
      </c>
    </row>
    <row r="23" spans="1:29" x14ac:dyDescent="0.35">
      <c r="A23" s="2" t="s">
        <v>6</v>
      </c>
      <c r="B23" s="2" t="s">
        <v>5</v>
      </c>
      <c r="C23">
        <v>0.5</v>
      </c>
      <c r="H23" t="s">
        <v>172</v>
      </c>
      <c r="S23" s="18" t="s">
        <v>147</v>
      </c>
      <c r="T23" s="18"/>
      <c r="U23" s="18"/>
      <c r="V23" s="18"/>
      <c r="W23" s="18"/>
      <c r="X23" s="18"/>
      <c r="Y23" s="18"/>
    </row>
    <row r="24" spans="1:29" x14ac:dyDescent="0.35">
      <c r="A24" s="2" t="s">
        <v>7</v>
      </c>
      <c r="B24" s="2" t="s">
        <v>8</v>
      </c>
      <c r="C24" s="7">
        <f>S5</f>
        <v>57.578173333333332</v>
      </c>
      <c r="H24" t="s">
        <v>164</v>
      </c>
      <c r="J24">
        <v>2.5</v>
      </c>
      <c r="K24" t="s">
        <v>165</v>
      </c>
      <c r="L24" t="s">
        <v>175</v>
      </c>
      <c r="U24">
        <v>4200</v>
      </c>
      <c r="V24" t="s">
        <v>148</v>
      </c>
    </row>
    <row r="25" spans="1:29" x14ac:dyDescent="0.35">
      <c r="A25" s="2" t="s">
        <v>7</v>
      </c>
      <c r="B25" s="2" t="s">
        <v>9</v>
      </c>
      <c r="C25">
        <f>C24/1000</f>
        <v>5.757817333333333E-2</v>
      </c>
      <c r="H25" t="s">
        <v>166</v>
      </c>
      <c r="J25">
        <v>3</v>
      </c>
      <c r="S25" s="26" t="s">
        <v>146</v>
      </c>
      <c r="U25">
        <f>J3*AA29/1000</f>
        <v>162.12</v>
      </c>
      <c r="V25" t="s">
        <v>97</v>
      </c>
      <c r="Y25" s="1">
        <v>2023</v>
      </c>
      <c r="Z25" t="s">
        <v>161</v>
      </c>
      <c r="AA25" t="s">
        <v>162</v>
      </c>
    </row>
    <row r="26" spans="1:29" x14ac:dyDescent="0.35">
      <c r="A26" s="2" t="s">
        <v>10</v>
      </c>
      <c r="B26" s="2" t="s">
        <v>11</v>
      </c>
      <c r="C26">
        <v>0</v>
      </c>
      <c r="J26">
        <f>J24*3</f>
        <v>7.5</v>
      </c>
      <c r="K26" t="s">
        <v>165</v>
      </c>
      <c r="S26" s="27" t="s">
        <v>30</v>
      </c>
      <c r="U26" s="7">
        <f>U25/3.6</f>
        <v>45.033333333333331</v>
      </c>
      <c r="V26" t="s">
        <v>8</v>
      </c>
      <c r="Y26" t="s">
        <v>134</v>
      </c>
      <c r="Z26">
        <v>2.06</v>
      </c>
      <c r="AA26">
        <v>38.19</v>
      </c>
    </row>
    <row r="27" spans="1:29" x14ac:dyDescent="0.35">
      <c r="A27" s="2" t="s">
        <v>12</v>
      </c>
      <c r="B27" s="2" t="s">
        <v>11</v>
      </c>
      <c r="C27">
        <v>10</v>
      </c>
      <c r="J27" s="6">
        <f>J26/0.54</f>
        <v>13.888888888888888</v>
      </c>
      <c r="K27" t="s">
        <v>102</v>
      </c>
      <c r="M27" s="6"/>
      <c r="S27" s="18">
        <v>42.8</v>
      </c>
      <c r="T27" t="s">
        <v>84</v>
      </c>
      <c r="U27" s="6">
        <f>S27*U26/1000</f>
        <v>1.9274266666666664</v>
      </c>
      <c r="V27" t="s">
        <v>0</v>
      </c>
      <c r="Y27" t="s">
        <v>135</v>
      </c>
      <c r="Z27">
        <v>1.91</v>
      </c>
      <c r="AA27">
        <v>37.97</v>
      </c>
    </row>
    <row r="28" spans="1:29" x14ac:dyDescent="0.35">
      <c r="A28" s="2" t="s">
        <v>13</v>
      </c>
      <c r="B28" s="2"/>
      <c r="C28" s="3">
        <v>1.92</v>
      </c>
      <c r="J28" t="s">
        <v>173</v>
      </c>
      <c r="Q28">
        <f>22000/U21</f>
        <v>16655.310772957833</v>
      </c>
      <c r="R28" t="s">
        <v>174</v>
      </c>
      <c r="S28" s="18">
        <v>30</v>
      </c>
      <c r="T28" t="s">
        <v>2</v>
      </c>
      <c r="U28" s="6">
        <f>S28*U26/1000</f>
        <v>1.351</v>
      </c>
      <c r="V28" t="s">
        <v>0</v>
      </c>
      <c r="Y28" t="s">
        <v>136</v>
      </c>
      <c r="Z28">
        <v>1.89</v>
      </c>
      <c r="AA28">
        <v>38.049999999999997</v>
      </c>
    </row>
    <row r="29" spans="1:29" x14ac:dyDescent="0.35">
      <c r="A29" s="2" t="s">
        <v>14</v>
      </c>
      <c r="B29" s="2" t="s">
        <v>15</v>
      </c>
      <c r="C29">
        <v>1500</v>
      </c>
      <c r="H29" s="28"/>
      <c r="I29" s="28"/>
      <c r="J29" s="28"/>
      <c r="K29" s="29"/>
      <c r="L29" s="28"/>
      <c r="M29" s="28"/>
      <c r="N29" s="28"/>
      <c r="O29" s="28"/>
      <c r="P29" s="28"/>
      <c r="Q29" s="28"/>
      <c r="R29" s="28"/>
      <c r="S29" s="18">
        <v>0.45</v>
      </c>
      <c r="T29" t="s">
        <v>133</v>
      </c>
      <c r="U29" s="6">
        <f>S29*U26/1000</f>
        <v>2.0265000000000002E-2</v>
      </c>
      <c r="V29" t="s">
        <v>0</v>
      </c>
      <c r="Y29" t="s">
        <v>137</v>
      </c>
      <c r="Z29">
        <v>2.09</v>
      </c>
      <c r="AA29" s="21">
        <v>38.6</v>
      </c>
    </row>
    <row r="30" spans="1:29" x14ac:dyDescent="0.35">
      <c r="A30" s="2" t="s">
        <v>16</v>
      </c>
      <c r="B30" s="2" t="s">
        <v>17</v>
      </c>
      <c r="C30">
        <f>C24*C28*0.25</f>
        <v>27.637523199999997</v>
      </c>
      <c r="H30" s="30"/>
      <c r="I30" s="28"/>
      <c r="J30" s="28"/>
      <c r="K30" s="28"/>
      <c r="L30" s="28"/>
      <c r="M30" s="28"/>
      <c r="N30" s="28"/>
      <c r="O30" s="28"/>
      <c r="P30" s="28"/>
      <c r="Q30" s="28"/>
      <c r="R30" s="28"/>
      <c r="Y30" t="s">
        <v>138</v>
      </c>
      <c r="Z30">
        <v>1.99</v>
      </c>
      <c r="AA30">
        <v>36.43</v>
      </c>
    </row>
    <row r="31" spans="1:29" x14ac:dyDescent="0.35">
      <c r="A31" s="2" t="s">
        <v>18</v>
      </c>
      <c r="B31" s="2" t="s">
        <v>19</v>
      </c>
      <c r="C31" s="6">
        <f>C30*(273+C29)/273*(100+C26)/100</f>
        <v>179.49204627692308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Y31" t="s">
        <v>139</v>
      </c>
      <c r="Z31">
        <v>1.81</v>
      </c>
      <c r="AA31">
        <v>35.42</v>
      </c>
    </row>
    <row r="32" spans="1:29" x14ac:dyDescent="0.35">
      <c r="A32" s="15" t="s">
        <v>20</v>
      </c>
      <c r="B32" s="15" t="s">
        <v>21</v>
      </c>
      <c r="C32" s="16">
        <f>C31*4/PI()/(C23*C23)</f>
        <v>914.14548514084925</v>
      </c>
      <c r="H32" s="31"/>
      <c r="I32" s="28"/>
      <c r="J32" s="28"/>
      <c r="K32" s="28"/>
      <c r="L32" s="28"/>
      <c r="M32" s="28"/>
      <c r="N32" s="28"/>
      <c r="O32" s="28"/>
      <c r="P32" s="28"/>
      <c r="Q32" s="28"/>
      <c r="R32" s="28"/>
      <c r="Y32" t="s">
        <v>140</v>
      </c>
      <c r="Z32">
        <v>1.81</v>
      </c>
      <c r="AA32">
        <v>34.89</v>
      </c>
    </row>
    <row r="33" spans="8:27" x14ac:dyDescent="0.35">
      <c r="H33" s="31"/>
      <c r="I33" s="28"/>
      <c r="J33" s="28"/>
      <c r="K33" s="28"/>
      <c r="L33" s="28"/>
      <c r="M33" s="28"/>
      <c r="N33" s="28"/>
      <c r="O33" s="28"/>
      <c r="P33" s="28"/>
      <c r="Q33" s="28"/>
      <c r="R33" s="28"/>
      <c r="Y33" t="s">
        <v>141</v>
      </c>
      <c r="Z33">
        <v>1.86</v>
      </c>
      <c r="AA33">
        <v>34.58</v>
      </c>
    </row>
    <row r="34" spans="8:27" x14ac:dyDescent="0.35"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Y34" t="s">
        <v>142</v>
      </c>
      <c r="Z34">
        <v>1.67</v>
      </c>
      <c r="AA34">
        <v>32.06</v>
      </c>
    </row>
    <row r="35" spans="8:27" x14ac:dyDescent="0.35"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Y35" t="s">
        <v>143</v>
      </c>
      <c r="Z35" s="1">
        <v>2.15</v>
      </c>
      <c r="AA35">
        <v>36.54</v>
      </c>
    </row>
    <row r="36" spans="8:27" x14ac:dyDescent="0.35">
      <c r="H36" s="32"/>
      <c r="I36" s="28"/>
      <c r="J36" s="28"/>
      <c r="K36" s="28"/>
      <c r="L36" s="28"/>
      <c r="M36" s="28"/>
      <c r="N36" s="28"/>
      <c r="O36" s="28"/>
      <c r="P36" s="28"/>
      <c r="Q36" s="28"/>
      <c r="R36" s="28"/>
      <c r="Y36" t="s">
        <v>144</v>
      </c>
      <c r="Z36">
        <v>1.83</v>
      </c>
      <c r="AA36">
        <v>36.18</v>
      </c>
    </row>
    <row r="37" spans="8:27" x14ac:dyDescent="0.35"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Y37" t="s">
        <v>145</v>
      </c>
      <c r="Z37">
        <v>2.02</v>
      </c>
      <c r="AA37">
        <v>35.200000000000003</v>
      </c>
    </row>
    <row r="38" spans="8:27" x14ac:dyDescent="0.35">
      <c r="H38" s="28"/>
      <c r="I38" s="28"/>
      <c r="J38" s="28"/>
      <c r="K38" s="28"/>
      <c r="L38" s="33"/>
      <c r="M38" s="28"/>
      <c r="N38" s="28"/>
      <c r="O38" s="28"/>
      <c r="P38" s="28"/>
      <c r="Q38" s="28"/>
      <c r="R38" s="28"/>
      <c r="Y38" t="s">
        <v>160</v>
      </c>
      <c r="Z38" s="25">
        <f>SUM(Z26:Z37)/12</f>
        <v>1.9241666666666666</v>
      </c>
      <c r="AA38" s="25">
        <f>SUM(AA26:AA37)/12</f>
        <v>36.175833333333337</v>
      </c>
    </row>
    <row r="39" spans="8:27" x14ac:dyDescent="0.35"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8:27" x14ac:dyDescent="0.35"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8:27" x14ac:dyDescent="0.35"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8:27" x14ac:dyDescent="0.35"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701B-97F1-4343-9124-09DC5C8043C6}">
  <dimension ref="A1:V23"/>
  <sheetViews>
    <sheetView tabSelected="1" workbookViewId="0">
      <selection activeCell="H9" sqref="H9"/>
    </sheetView>
  </sheetViews>
  <sheetFormatPr defaultRowHeight="14.5" x14ac:dyDescent="0.35"/>
  <cols>
    <col min="4" max="4" width="9.36328125" bestFit="1" customWidth="1"/>
    <col min="11" max="11" width="9.81640625" bestFit="1" customWidth="1"/>
  </cols>
  <sheetData>
    <row r="1" spans="1:22" x14ac:dyDescent="0.35">
      <c r="H1" t="s">
        <v>110</v>
      </c>
      <c r="O1" t="s">
        <v>113</v>
      </c>
      <c r="S1">
        <v>49.19</v>
      </c>
      <c r="T1" t="s">
        <v>96</v>
      </c>
      <c r="U1" s="7">
        <f>L2*S1/1000</f>
        <v>482.06200000000001</v>
      </c>
      <c r="V1" t="s">
        <v>97</v>
      </c>
    </row>
    <row r="2" spans="1:22" x14ac:dyDescent="0.35">
      <c r="A2" t="s">
        <v>98</v>
      </c>
      <c r="L2">
        <v>9800</v>
      </c>
      <c r="M2" t="s">
        <v>93</v>
      </c>
      <c r="U2" s="14">
        <f>U1/3.6</f>
        <v>133.9061111111111</v>
      </c>
      <c r="V2" t="s">
        <v>8</v>
      </c>
    </row>
    <row r="3" spans="1:22" x14ac:dyDescent="0.35">
      <c r="B3" t="s">
        <v>0</v>
      </c>
      <c r="C3" t="s">
        <v>116</v>
      </c>
      <c r="D3" t="s">
        <v>99</v>
      </c>
      <c r="E3" t="s">
        <v>111</v>
      </c>
      <c r="F3" t="s">
        <v>112</v>
      </c>
      <c r="G3" t="s">
        <v>107</v>
      </c>
      <c r="H3" t="s">
        <v>101</v>
      </c>
      <c r="J3">
        <v>13.56</v>
      </c>
      <c r="K3" t="s">
        <v>102</v>
      </c>
      <c r="O3" t="s">
        <v>114</v>
      </c>
      <c r="R3">
        <v>50.4</v>
      </c>
      <c r="S3" t="s">
        <v>65</v>
      </c>
      <c r="T3">
        <f>J3*R3/3600</f>
        <v>0.18983999999999998</v>
      </c>
      <c r="U3">
        <v>0.19</v>
      </c>
      <c r="V3" t="s">
        <v>8</v>
      </c>
    </row>
    <row r="4" spans="1:22" x14ac:dyDescent="0.35">
      <c r="A4" t="s">
        <v>84</v>
      </c>
      <c r="B4">
        <v>5.7389999999999999</v>
      </c>
      <c r="C4" s="6">
        <f t="shared" ref="C4:C9" si="0">B4/4</f>
        <v>1.43475</v>
      </c>
      <c r="D4" s="6">
        <f t="shared" ref="D4:D9" si="1">B4*3.6*$D$11/1000</f>
        <v>6.1981200000000003</v>
      </c>
      <c r="E4" s="6">
        <f t="shared" ref="E4:E9" si="2">B4*3.6*$E$11/1000</f>
        <v>0.30990600000000001</v>
      </c>
      <c r="F4" s="6">
        <f>E4/5</f>
        <v>6.19812E-2</v>
      </c>
      <c r="G4" s="3">
        <f t="shared" ref="G4:G9" si="3">B4/$D$21*1000</f>
        <v>89.16179522978959</v>
      </c>
      <c r="U4" s="7">
        <f>U2+U3</f>
        <v>134.0961111111111</v>
      </c>
      <c r="V4" t="s">
        <v>105</v>
      </c>
    </row>
    <row r="5" spans="1:22" x14ac:dyDescent="0.35">
      <c r="A5" t="s">
        <v>2</v>
      </c>
      <c r="B5">
        <v>4.0229999999999997</v>
      </c>
      <c r="C5" s="6">
        <f t="shared" si="0"/>
        <v>1.0057499999999999</v>
      </c>
      <c r="D5" s="6">
        <f t="shared" si="1"/>
        <v>4.3448400000000005</v>
      </c>
      <c r="E5" s="6">
        <f t="shared" si="2"/>
        <v>0.21724199999999999</v>
      </c>
      <c r="F5" s="6">
        <f t="shared" ref="F5:F10" si="4">E5/5</f>
        <v>4.3448399999999998E-2</v>
      </c>
      <c r="G5" s="3">
        <f t="shared" si="3"/>
        <v>62.501812547385171</v>
      </c>
    </row>
    <row r="6" spans="1:22" x14ac:dyDescent="0.35">
      <c r="A6" t="s">
        <v>1</v>
      </c>
      <c r="B6">
        <v>124.431</v>
      </c>
      <c r="C6" s="6">
        <f t="shared" si="0"/>
        <v>31.107749999999999</v>
      </c>
      <c r="D6" s="6">
        <f t="shared" si="1"/>
        <v>134.38547999999997</v>
      </c>
      <c r="E6" s="6">
        <f t="shared" si="2"/>
        <v>6.7192739999999995</v>
      </c>
      <c r="F6" s="6">
        <f t="shared" si="4"/>
        <v>1.3438547999999999</v>
      </c>
      <c r="G6" s="3">
        <f t="shared" si="3"/>
        <v>1933.1750030036503</v>
      </c>
    </row>
    <row r="7" spans="1:22" x14ac:dyDescent="0.35">
      <c r="A7" t="s">
        <v>85</v>
      </c>
      <c r="B7">
        <v>0.19800000000000001</v>
      </c>
      <c r="C7" s="6">
        <f t="shared" si="0"/>
        <v>4.9500000000000002E-2</v>
      </c>
      <c r="D7" s="6">
        <f t="shared" si="1"/>
        <v>0.21384000000000003</v>
      </c>
      <c r="E7" s="6">
        <f t="shared" si="2"/>
        <v>1.0692000000000002E-2</v>
      </c>
      <c r="F7" s="6">
        <f t="shared" si="4"/>
        <v>2.1384000000000004E-3</v>
      </c>
      <c r="G7" s="3">
        <f t="shared" si="3"/>
        <v>3.0761518479697405</v>
      </c>
    </row>
    <row r="8" spans="1:22" x14ac:dyDescent="0.35">
      <c r="A8" t="s">
        <v>3</v>
      </c>
      <c r="B8">
        <v>7.1219999999999999</v>
      </c>
      <c r="C8" s="6">
        <f t="shared" si="0"/>
        <v>1.7805</v>
      </c>
      <c r="D8" s="6">
        <f t="shared" si="1"/>
        <v>7.6917599999999995</v>
      </c>
      <c r="E8" s="6">
        <f t="shared" si="2"/>
        <v>0.38458799999999999</v>
      </c>
      <c r="F8" s="6">
        <f t="shared" si="4"/>
        <v>7.6917600000000003E-2</v>
      </c>
      <c r="G8" s="3">
        <f t="shared" si="3"/>
        <v>110.6482498042449</v>
      </c>
    </row>
    <row r="9" spans="1:22" x14ac:dyDescent="0.35">
      <c r="A9" t="s">
        <v>100</v>
      </c>
      <c r="B9" s="6">
        <v>6.8000000000000005E-2</v>
      </c>
      <c r="C9">
        <f t="shared" si="0"/>
        <v>1.7000000000000001E-2</v>
      </c>
      <c r="D9" s="6">
        <f t="shared" si="1"/>
        <v>7.3440000000000005E-2</v>
      </c>
      <c r="E9" s="6">
        <f t="shared" si="2"/>
        <v>3.6720000000000004E-3</v>
      </c>
      <c r="F9" s="6">
        <f t="shared" si="4"/>
        <v>7.3440000000000007E-4</v>
      </c>
      <c r="G9" s="3">
        <f t="shared" si="3"/>
        <v>1.0564561902118301</v>
      </c>
    </row>
    <row r="10" spans="1:22" x14ac:dyDescent="0.35">
      <c r="A10" t="s">
        <v>57</v>
      </c>
      <c r="D10" s="6">
        <f>(L2*H10*S1/1000/1000+J3*R3*N10/1000/1000)*3.664*D11</f>
        <v>10504.595476085762</v>
      </c>
      <c r="E10">
        <f>9.557*3.664*E11</f>
        <v>525.25272000000007</v>
      </c>
      <c r="F10" s="6">
        <f t="shared" si="4"/>
        <v>105.05054400000002</v>
      </c>
      <c r="H10">
        <v>19.8</v>
      </c>
      <c r="I10" t="s">
        <v>104</v>
      </c>
      <c r="K10" t="s">
        <v>103</v>
      </c>
      <c r="N10">
        <v>17.2</v>
      </c>
      <c r="O10" t="s">
        <v>58</v>
      </c>
    </row>
    <row r="11" spans="1:22" x14ac:dyDescent="0.35">
      <c r="D11">
        <v>300</v>
      </c>
      <c r="E11">
        <v>15</v>
      </c>
    </row>
    <row r="13" spans="1:22" x14ac:dyDescent="0.35">
      <c r="A13" t="s">
        <v>115</v>
      </c>
    </row>
    <row r="14" spans="1:22" x14ac:dyDescent="0.35">
      <c r="A14" s="2" t="s">
        <v>6</v>
      </c>
      <c r="B14" s="2" t="s">
        <v>5</v>
      </c>
      <c r="C14" s="8"/>
      <c r="D14">
        <v>0.5</v>
      </c>
    </row>
    <row r="15" spans="1:22" x14ac:dyDescent="0.35">
      <c r="A15" s="2" t="s">
        <v>7</v>
      </c>
      <c r="B15" s="2" t="s">
        <v>8</v>
      </c>
      <c r="C15" s="8"/>
      <c r="D15" s="7">
        <f>U4</f>
        <v>134.0961111111111</v>
      </c>
    </row>
    <row r="16" spans="1:22" x14ac:dyDescent="0.35">
      <c r="A16" s="2" t="s">
        <v>7</v>
      </c>
      <c r="B16" s="2" t="s">
        <v>9</v>
      </c>
      <c r="C16" s="8"/>
      <c r="D16">
        <f>D15/1000</f>
        <v>0.13409611111111111</v>
      </c>
    </row>
    <row r="17" spans="1:4" x14ac:dyDescent="0.35">
      <c r="A17" s="2" t="s">
        <v>10</v>
      </c>
      <c r="B17" s="2" t="s">
        <v>11</v>
      </c>
      <c r="C17" s="8"/>
      <c r="D17">
        <v>0</v>
      </c>
    </row>
    <row r="18" spans="1:4" x14ac:dyDescent="0.35">
      <c r="A18" s="2" t="s">
        <v>12</v>
      </c>
      <c r="B18" s="2" t="s">
        <v>11</v>
      </c>
      <c r="C18" s="8"/>
      <c r="D18">
        <v>10</v>
      </c>
    </row>
    <row r="19" spans="1:4" x14ac:dyDescent="0.35">
      <c r="A19" s="2" t="s">
        <v>13</v>
      </c>
      <c r="B19" s="2"/>
      <c r="C19" s="8"/>
      <c r="D19" s="3">
        <v>1.92</v>
      </c>
    </row>
    <row r="20" spans="1:4" x14ac:dyDescent="0.35">
      <c r="A20" s="2" t="s">
        <v>14</v>
      </c>
      <c r="B20" s="2" t="s">
        <v>15</v>
      </c>
      <c r="C20" s="8"/>
      <c r="D20">
        <v>1500</v>
      </c>
    </row>
    <row r="21" spans="1:4" x14ac:dyDescent="0.35">
      <c r="A21" s="2" t="s">
        <v>16</v>
      </c>
      <c r="B21" s="2" t="s">
        <v>17</v>
      </c>
      <c r="C21" s="8"/>
      <c r="D21">
        <f>D15*D19*0.25</f>
        <v>64.366133333333323</v>
      </c>
    </row>
    <row r="22" spans="1:4" x14ac:dyDescent="0.35">
      <c r="A22" s="2" t="s">
        <v>18</v>
      </c>
      <c r="B22" s="2" t="s">
        <v>19</v>
      </c>
      <c r="C22" s="8"/>
      <c r="D22" s="6">
        <f>D21*(273+D20)/273*(100+D17)/100</f>
        <v>418.02620659340653</v>
      </c>
    </row>
    <row r="23" spans="1:4" x14ac:dyDescent="0.35">
      <c r="A23" s="15" t="s">
        <v>20</v>
      </c>
      <c r="B23" s="15" t="s">
        <v>21</v>
      </c>
      <c r="C23" s="17"/>
      <c r="D23" s="16">
        <f>D22*4/PI()/(D14*D14)</f>
        <v>2128.989987881424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Enefit 280-2 korsten</vt:lpstr>
      <vt:lpstr>Leektoru E280-2 käivitamisel</vt:lpstr>
      <vt:lpstr>Leektoru_seiskamine-ohutus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</dc:creator>
  <cp:lastModifiedBy>Juhan Ruut</cp:lastModifiedBy>
  <dcterms:created xsi:type="dcterms:W3CDTF">2020-12-07T17:05:31Z</dcterms:created>
  <dcterms:modified xsi:type="dcterms:W3CDTF">2024-02-12T14:21:28Z</dcterms:modified>
</cp:coreProperties>
</file>